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055" windowHeight="9405" activeTab="0"/>
  </bookViews>
  <sheets>
    <sheet name="FUELS" sheetId="1" r:id="rId1"/>
    <sheet name="ETP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user38</author>
  </authors>
  <commentList>
    <comment ref="D8" authorId="0">
      <text>
        <r>
          <rPr>
            <sz val="10"/>
            <rFont val="Tahoma"/>
            <family val="2"/>
          </rPr>
          <t>Enter MINUTES</t>
        </r>
      </text>
    </comment>
    <comment ref="K2" authorId="0">
      <text>
        <r>
          <rPr>
            <sz val="10"/>
            <rFont val="Tahoma"/>
            <family val="2"/>
          </rPr>
          <t>Enter altitude in 3 digits.
i.e. 230</t>
        </r>
      </text>
    </comment>
    <comment ref="C9" authorId="0">
      <text>
        <r>
          <rPr>
            <sz val="10"/>
            <rFont val="Tahoma"/>
            <family val="2"/>
          </rPr>
          <t>10% of flight time fuel over the category 1 route/route segment, not to exceed 1+00 fuel at normal cruise.</t>
        </r>
      </text>
    </comment>
    <comment ref="C10" authorId="0">
      <text>
        <r>
          <rPr>
            <sz val="10"/>
            <rFont val="Tahoma"/>
            <family val="2"/>
          </rPr>
          <t xml:space="preserve">Plan a 45-minute fuel reserve at destination or alternate (when an alternate is required).  </t>
        </r>
        <r>
          <rPr>
            <u val="single"/>
            <sz val="10"/>
            <rFont val="Tahoma"/>
            <family val="2"/>
          </rPr>
          <t>Maximum endurance at 10,000ft MSL</t>
        </r>
        <r>
          <rPr>
            <sz val="10"/>
            <rFont val="Tahoma"/>
            <family val="2"/>
          </rPr>
          <t>.  For remote destinations use 2+00 hrs reserve fuel maximum endurance at 20,000ft MSL.  Use “</t>
        </r>
        <r>
          <rPr>
            <u val="single"/>
            <sz val="10"/>
            <rFont val="Tahoma"/>
            <family val="2"/>
          </rPr>
          <t>End Cruise Gross Weight</t>
        </r>
        <r>
          <rPr>
            <sz val="10"/>
            <rFont val="Tahoma"/>
            <family val="2"/>
          </rPr>
          <t>” from section II of the AF form 4116</t>
        </r>
        <r>
          <rPr>
            <b/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sz val="10"/>
            <rFont val="Tahoma"/>
            <family val="2"/>
          </rPr>
          <t xml:space="preserve">30-minutes of fuel. </t>
        </r>
        <r>
          <rPr>
            <u val="single"/>
            <sz val="10"/>
            <rFont val="Tahoma"/>
            <family val="2"/>
          </rPr>
          <t>Maximum endurance at 10,000ft MSL</t>
        </r>
        <r>
          <rPr>
            <sz val="10"/>
            <rFont val="Tahoma"/>
            <family val="2"/>
          </rPr>
          <t>.  For remote destinations use maximum endurance at 20,000ft MSL.  Use “</t>
        </r>
        <r>
          <rPr>
            <u val="single"/>
            <sz val="10"/>
            <rFont val="Tahoma"/>
            <family val="2"/>
          </rPr>
          <t>End Cruise Gross Weight</t>
        </r>
        <r>
          <rPr>
            <sz val="10"/>
            <rFont val="Tahoma"/>
            <family val="2"/>
          </rPr>
          <t>” from section II of the AF form 4116.</t>
        </r>
      </text>
    </comment>
    <comment ref="C13" authorId="0">
      <text>
        <r>
          <rPr>
            <sz val="10"/>
            <rFont val="Tahoma"/>
            <family val="2"/>
          </rPr>
          <t>Flight time from overhead destination or initial penetration fix to alternate, or most distant alternate when two are required.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sz val="10"/>
            <rFont val="Tahoma"/>
            <family val="2"/>
          </rPr>
          <t>Enter HOURS</t>
        </r>
      </text>
    </comment>
    <comment ref="N4" authorId="0">
      <text>
        <r>
          <rPr>
            <sz val="10"/>
            <rFont val="Tahoma"/>
            <family val="2"/>
          </rPr>
          <t>Enter in decimal format.
i.e. 2.3</t>
        </r>
      </text>
    </comment>
    <comment ref="K9" authorId="0">
      <text>
        <r>
          <rPr>
            <sz val="10"/>
            <rFont val="Tahoma"/>
            <family val="2"/>
          </rPr>
          <t>Insert as 4 digits
i.e. 1130</t>
        </r>
      </text>
    </comment>
    <comment ref="K12" authorId="0">
      <text>
        <r>
          <rPr>
            <sz val="10"/>
            <rFont val="Tahoma"/>
            <family val="2"/>
          </rPr>
          <t>Insert as 4 digits
i.e. 1070</t>
        </r>
      </text>
    </comment>
    <comment ref="J14" authorId="0">
      <text>
        <r>
          <rPr>
            <sz val="10"/>
            <rFont val="Tahoma"/>
            <family val="2"/>
          </rPr>
          <t>Enter delay in excess of 20 minutes</t>
        </r>
      </text>
    </comment>
    <comment ref="J16" authorId="0">
      <text>
        <r>
          <rPr>
            <sz val="10"/>
            <rFont val="Tahoma"/>
            <family val="2"/>
          </rPr>
          <t>Enter in minutes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sz val="10"/>
            <rFont val="Tahoma"/>
            <family val="2"/>
          </rPr>
          <t>Enter in minutes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sz val="10"/>
            <rFont val="Tahoma"/>
            <family val="2"/>
          </rPr>
          <t>Enter in minutes</t>
        </r>
        <r>
          <rPr>
            <sz val="8"/>
            <rFont val="Tahoma"/>
            <family val="2"/>
          </rPr>
          <t xml:space="preserve">
</t>
        </r>
      </text>
    </comment>
    <comment ref="N14" authorId="0">
      <text>
        <r>
          <rPr>
            <sz val="10"/>
            <rFont val="Tahoma"/>
            <family val="2"/>
          </rPr>
          <t>Enter in decimal format
i.e. 5.0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sz val="10"/>
            <rFont val="Tahoma"/>
            <family val="2"/>
          </rPr>
          <t>Enter in decimal format
i.e. 5.0</t>
        </r>
      </text>
    </comment>
    <comment ref="L22" authorId="0">
      <text>
        <r>
          <rPr>
            <b/>
            <sz val="8"/>
            <rFont val="Tahoma"/>
            <family val="0"/>
          </rPr>
          <t>Appears when Unidentified Extra exceeds 2,200 lbs</t>
        </r>
      </text>
    </comment>
    <comment ref="M22" authorId="0">
      <text>
        <r>
          <rPr>
            <b/>
            <sz val="8"/>
            <rFont val="Tahoma"/>
            <family val="2"/>
          </rPr>
          <t xml:space="preserve">Appears when Actual Ramp fuel is less then Required Ramp fuel
</t>
        </r>
      </text>
    </comment>
  </commentList>
</comments>
</file>

<file path=xl/comments2.xml><?xml version="1.0" encoding="utf-8"?>
<comments xmlns="http://schemas.openxmlformats.org/spreadsheetml/2006/main">
  <authors>
    <author>user38</author>
  </authors>
  <commentList>
    <comment ref="D7" authorId="0">
      <text>
        <r>
          <rPr>
            <sz val="10"/>
            <rFont val="Tahoma"/>
            <family val="2"/>
          </rPr>
          <t>Wind factors are calculated with Cruise TAS value on FUELS page</t>
        </r>
      </text>
    </comment>
    <comment ref="I7" authorId="0">
      <text>
        <r>
          <rPr>
            <sz val="10"/>
            <rFont val="Tahoma"/>
            <family val="2"/>
          </rPr>
          <t>Wind factors are calculated with Cruise TAS value on FUELS page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sz val="10"/>
            <rFont val="Tahoma"/>
            <family val="2"/>
          </rPr>
          <t>ETP in Minutes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<sst xmlns="http://schemas.openxmlformats.org/spreadsheetml/2006/main" count="107" uniqueCount="93">
  <si>
    <t>II. FUEL/ETP PLANNING</t>
  </si>
  <si>
    <t>NAV:</t>
  </si>
  <si>
    <t>AC:</t>
  </si>
  <si>
    <t>TAIL #:</t>
  </si>
  <si>
    <t>DATE:</t>
  </si>
  <si>
    <t>CALL SIGN:</t>
  </si>
  <si>
    <t>OPERATING WT:</t>
  </si>
  <si>
    <t>CARGO/PAX WT:</t>
  </si>
  <si>
    <t>RAMP FUEL:</t>
  </si>
  <si>
    <t>RAMP WT:</t>
  </si>
  <si>
    <t>TAKEOFF WT:</t>
  </si>
  <si>
    <t>TIME</t>
  </si>
  <si>
    <t>FUEL</t>
  </si>
  <si>
    <t>1. ENROUTE</t>
  </si>
  <si>
    <t>2. CAT 1 RESERVE</t>
  </si>
  <si>
    <t>Max End FF:</t>
  </si>
  <si>
    <t>3. RESERVE</t>
  </si>
  <si>
    <t>4. CONTINGENCY</t>
  </si>
  <si>
    <t>5. ALTERNATE + MISSED APPROACH</t>
  </si>
  <si>
    <t>1.0/4.0</t>
  </si>
  <si>
    <t>6. LANDING</t>
  </si>
  <si>
    <t>APPROACH/</t>
  </si>
  <si>
    <t>7. IDENTIFIED EXTRA</t>
  </si>
  <si>
    <t>TOTAL (1 THRU 7)                    8. TAKEOFF</t>
  </si>
  <si>
    <t>9. TAXI</t>
  </si>
  <si>
    <t>10. REQUIRED RAMP</t>
  </si>
  <si>
    <t>11. ACTUAL RAMP</t>
  </si>
  <si>
    <t>12. UNIDENTIFIED EXTRA</t>
  </si>
  <si>
    <t>MIN DIV OR (3+5+6+WRF) 13. REQ OVHD DEST</t>
  </si>
  <si>
    <t>ENDURANCE</t>
  </si>
  <si>
    <t>CLIMB TEMP DEV:</t>
  </si>
  <si>
    <t>CRUISE TEMP DEV:</t>
  </si>
  <si>
    <t>DISTANCE TO CLIMB</t>
  </si>
  <si>
    <t>(DTC)</t>
  </si>
  <si>
    <t>ZONE</t>
  </si>
  <si>
    <t>A. CLIMB</t>
  </si>
  <si>
    <t>TTL CLIMB FUEL</t>
  </si>
  <si>
    <t>B. START CRUISE</t>
  </si>
  <si>
    <t>CRUISE ZONE FUEL</t>
  </si>
  <si>
    <t>C. END CRUISE</t>
  </si>
  <si>
    <t>GROSS WEIGHT</t>
  </si>
  <si>
    <t>ALT</t>
  </si>
  <si>
    <t>ZONE TIME</t>
  </si>
  <si>
    <t>TOTAL TIME</t>
  </si>
  <si>
    <t>F/F PER ENGINE</t>
  </si>
  <si>
    <t>F/F TOTAL</t>
  </si>
  <si>
    <t>ZONE FUEL</t>
  </si>
  <si>
    <t>TOTAL FUEL</t>
  </si>
  <si>
    <t>ENROUTE FUEL COMPUTATION WORKSHEET</t>
  </si>
  <si>
    <t>TIME TO CLIMB</t>
  </si>
  <si>
    <t>(TTC)</t>
  </si>
  <si>
    <t>CLIMB TAS</t>
  </si>
  <si>
    <t>FUEL TO CLIMB</t>
  </si>
  <si>
    <t>(FTC)</t>
  </si>
  <si>
    <t>CRUISE TAS</t>
  </si>
  <si>
    <t>CRUISE CEILING</t>
  </si>
  <si>
    <t>DRAG INDEX</t>
  </si>
  <si>
    <t>DIST</t>
  </si>
  <si>
    <t>GS</t>
  </si>
  <si>
    <t>WF1</t>
  </si>
  <si>
    <t>-</t>
  </si>
  <si>
    <t>=</t>
  </si>
  <si>
    <t>ETP CALCULATION</t>
  </si>
  <si>
    <t>LSAF</t>
  </si>
  <si>
    <t>FSAF</t>
  </si>
  <si>
    <t>MDPT</t>
  </si>
  <si>
    <t>DIST (LSAF TO FSAF)</t>
  </si>
  <si>
    <t>(WF2-WF1)+2(TAS)</t>
  </si>
  <si>
    <t>T(</t>
  </si>
  <si>
    <t>)MIN</t>
  </si>
  <si>
    <t>TOTAL TIME TO FSAF - T = TIME TO ETP</t>
  </si>
  <si>
    <t>WF2</t>
  </si>
  <si>
    <t>ETP METHOD:</t>
  </si>
  <si>
    <t>1        2        3        4</t>
  </si>
  <si>
    <t>(CIRCLE ONE)</t>
  </si>
  <si>
    <t>IN MIN</t>
  </si>
  <si>
    <t>D. AVG CRUISE FUEL FLOW -&gt;</t>
  </si>
  <si>
    <t>&lt;-(TFF)</t>
  </si>
  <si>
    <t>Taxi Delay</t>
  </si>
  <si>
    <t>Planned Excess Holding</t>
  </si>
  <si>
    <t>Off Course Manuvering (Departure)</t>
  </si>
  <si>
    <t>Off Course Manuvering (Enroute)</t>
  </si>
  <si>
    <t>High Altitude Approach? (enter 1 if yes)</t>
  </si>
  <si>
    <t>Tankered Fuel</t>
  </si>
  <si>
    <t>Destination Airfield below ceiling minimums? (enter 1 if yes)</t>
  </si>
  <si>
    <t>Forecasted Icing Conditions? (enter 1 if yes)</t>
  </si>
  <si>
    <t>Forecasted Thunderstorms? (enter 1 if yes)</t>
  </si>
  <si>
    <t>Wing Relieving Fuel</t>
  </si>
  <si>
    <t>ALERT MESSAGES</t>
  </si>
  <si>
    <t>Created by: Francisco J. Guzman</t>
  </si>
  <si>
    <t>1</t>
  </si>
  <si>
    <t>or</t>
  </si>
  <si>
    <t>Was the LSAF after level off? (enter 1 if yes)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</si>
</sst>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"/>
    <numFmt numFmtId="166" formatCode="[h]\+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medium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44" fillId="0" borderId="11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 vertical="top"/>
      <protection hidden="1"/>
    </xf>
    <xf numFmtId="0" fontId="44" fillId="0" borderId="12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44" fillId="0" borderId="16" xfId="0" applyFont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4" fillId="0" borderId="14" xfId="0" applyFont="1" applyBorder="1" applyAlignment="1" applyProtection="1">
      <alignment vertical="center"/>
      <protection hidden="1"/>
    </xf>
    <xf numFmtId="164" fontId="0" fillId="0" borderId="15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8" fillId="33" borderId="15" xfId="0" applyFont="1" applyFill="1" applyBorder="1" applyAlignment="1" applyProtection="1">
      <alignment horizontal="center" vertical="center"/>
      <protection hidden="1"/>
    </xf>
    <xf numFmtId="165" fontId="0" fillId="0" borderId="15" xfId="0" applyNumberFormat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0" fontId="44" fillId="0" borderId="14" xfId="0" applyFont="1" applyBorder="1" applyAlignment="1" applyProtection="1">
      <alignment vertical="center" wrapText="1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44" fillId="0" borderId="14" xfId="0" applyFont="1" applyBorder="1" applyAlignment="1" applyProtection="1">
      <alignment/>
      <protection hidden="1"/>
    </xf>
    <xf numFmtId="0" fontId="44" fillId="0" borderId="18" xfId="0" applyFont="1" applyBorder="1" applyAlignment="1" applyProtection="1">
      <alignment vertical="center" wrapText="1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/>
      <protection hidden="1"/>
    </xf>
    <xf numFmtId="0" fontId="28" fillId="33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0" fontId="44" fillId="0" borderId="21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49" fontId="0" fillId="0" borderId="23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9" fontId="0" fillId="0" borderId="11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165" fontId="0" fillId="0" borderId="27" xfId="0" applyNumberFormat="1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49" fontId="0" fillId="0" borderId="27" xfId="0" applyNumberFormat="1" applyFill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28" fillId="0" borderId="0" xfId="0" applyFont="1" applyAlignment="1">
      <alignment/>
    </xf>
    <xf numFmtId="0" fontId="0" fillId="34" borderId="15" xfId="0" applyFont="1" applyFill="1" applyBorder="1" applyAlignment="1" applyProtection="1">
      <alignment horizontal="center" vertical="center"/>
      <protection hidden="1" locked="0"/>
    </xf>
    <xf numFmtId="165" fontId="0" fillId="34" borderId="15" xfId="0" applyNumberFormat="1" applyFill="1" applyBorder="1" applyAlignment="1" applyProtection="1">
      <alignment horizontal="center" vertical="center"/>
      <protection hidden="1" locked="0"/>
    </xf>
    <xf numFmtId="0" fontId="0" fillId="34" borderId="15" xfId="0" applyFill="1" applyBorder="1" applyAlignment="1" applyProtection="1">
      <alignment horizontal="center"/>
      <protection hidden="1" locked="0"/>
    </xf>
    <xf numFmtId="164" fontId="0" fillId="34" borderId="24" xfId="0" applyNumberFormat="1" applyFill="1" applyBorder="1" applyAlignment="1" applyProtection="1">
      <alignment horizontal="center"/>
      <protection hidden="1" locked="0"/>
    </xf>
    <xf numFmtId="165" fontId="45" fillId="34" borderId="30" xfId="0" applyNumberFormat="1" applyFont="1" applyFill="1" applyBorder="1" applyAlignment="1" applyProtection="1">
      <alignment horizontal="center"/>
      <protection hidden="1" locked="0"/>
    </xf>
    <xf numFmtId="0" fontId="0" fillId="34" borderId="30" xfId="0" applyFont="1" applyFill="1" applyBorder="1" applyAlignment="1" applyProtection="1">
      <alignment horizontal="center" vertical="center"/>
      <protection hidden="1" locked="0"/>
    </xf>
    <xf numFmtId="0" fontId="0" fillId="34" borderId="15" xfId="0" applyFill="1" applyBorder="1" applyAlignment="1" applyProtection="1">
      <alignment horizontal="center" vertical="center"/>
      <protection hidden="1" locked="0"/>
    </xf>
    <xf numFmtId="0" fontId="0" fillId="34" borderId="19" xfId="0" applyFill="1" applyBorder="1" applyAlignment="1" applyProtection="1">
      <alignment horizontal="center" vertical="center"/>
      <protection hidden="1" locked="0"/>
    </xf>
    <xf numFmtId="165" fontId="0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16" xfId="0" applyFill="1" applyBorder="1" applyAlignment="1" applyProtection="1">
      <alignment horizontal="center" vertical="center"/>
      <protection hidden="1" locked="0"/>
    </xf>
    <xf numFmtId="0" fontId="0" fillId="34" borderId="24" xfId="0" applyFill="1" applyBorder="1" applyAlignment="1" applyProtection="1">
      <alignment horizontal="center"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165" fontId="0" fillId="34" borderId="24" xfId="0" applyNumberFormat="1" applyFill="1" applyBorder="1" applyAlignment="1" applyProtection="1">
      <alignment horizontal="center"/>
      <protection hidden="1" locked="0"/>
    </xf>
    <xf numFmtId="49" fontId="0" fillId="34" borderId="10" xfId="0" applyNumberFormat="1" applyFill="1" applyBorder="1" applyAlignment="1" applyProtection="1">
      <alignment horizontal="center"/>
      <protection hidden="1" locked="0"/>
    </xf>
    <xf numFmtId="165" fontId="0" fillId="34" borderId="31" xfId="0" applyNumberFormat="1" applyFill="1" applyBorder="1" applyAlignment="1" applyProtection="1">
      <alignment horizontal="center"/>
      <protection hidden="1" locked="0"/>
    </xf>
    <xf numFmtId="165" fontId="0" fillId="34" borderId="11" xfId="0" applyNumberFormat="1" applyFill="1" applyBorder="1" applyAlignment="1" applyProtection="1">
      <alignment horizontal="center" vertical="center"/>
      <protection hidden="1" locked="0"/>
    </xf>
    <xf numFmtId="0" fontId="0" fillId="34" borderId="24" xfId="0" applyFill="1" applyBorder="1" applyAlignment="1" applyProtection="1">
      <alignment/>
      <protection hidden="1" locked="0"/>
    </xf>
    <xf numFmtId="165" fontId="0" fillId="34" borderId="32" xfId="0" applyNumberFormat="1" applyFill="1" applyBorder="1" applyAlignment="1" applyProtection="1">
      <alignment horizontal="center" vertical="center"/>
      <protection hidden="1" locked="0"/>
    </xf>
    <xf numFmtId="0" fontId="0" fillId="34" borderId="33" xfId="0" applyFill="1" applyBorder="1" applyAlignment="1" applyProtection="1">
      <alignment/>
      <protection hidden="1" locked="0"/>
    </xf>
    <xf numFmtId="0" fontId="0" fillId="34" borderId="34" xfId="0" applyFill="1" applyBorder="1" applyAlignment="1" applyProtection="1">
      <alignment/>
      <protection hidden="1" locked="0"/>
    </xf>
    <xf numFmtId="0" fontId="0" fillId="34" borderId="35" xfId="0" applyFill="1" applyBorder="1" applyAlignment="1" applyProtection="1">
      <alignment/>
      <protection hidden="1" locked="0"/>
    </xf>
    <xf numFmtId="0" fontId="44" fillId="33" borderId="32" xfId="0" applyFont="1" applyFill="1" applyBorder="1" applyAlignment="1" applyProtection="1">
      <alignment horizontal="center"/>
      <protection hidden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44" fillId="0" borderId="36" xfId="0" applyFont="1" applyBorder="1" applyAlignment="1">
      <alignment/>
    </xf>
    <xf numFmtId="165" fontId="0" fillId="34" borderId="11" xfId="0" applyNumberFormat="1" applyFont="1" applyFill="1" applyBorder="1" applyAlignment="1" applyProtection="1">
      <alignment horizontal="center" vertical="center"/>
      <protection hidden="1" locked="0"/>
    </xf>
    <xf numFmtId="165" fontId="0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44" fillId="33" borderId="32" xfId="0" applyFont="1" applyFill="1" applyBorder="1" applyAlignment="1" applyProtection="1">
      <alignment wrapText="1"/>
      <protection hidden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4" fillId="0" borderId="11" xfId="0" applyFont="1" applyBorder="1" applyAlignment="1" applyProtection="1">
      <alignment horizontal="center"/>
      <protection hidden="1"/>
    </xf>
    <xf numFmtId="0" fontId="0" fillId="0" borderId="24" xfId="0" applyBorder="1" applyAlignment="1">
      <alignment/>
    </xf>
    <xf numFmtId="166" fontId="0" fillId="0" borderId="11" xfId="0" applyNumberFormat="1" applyBorder="1" applyAlignment="1" applyProtection="1">
      <alignment horizontal="center"/>
      <protection hidden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44" fillId="0" borderId="18" xfId="0" applyFont="1" applyBorder="1" applyAlignment="1" applyProtection="1">
      <alignment wrapText="1"/>
      <protection hidden="1"/>
    </xf>
    <xf numFmtId="0" fontId="44" fillId="0" borderId="19" xfId="0" applyFont="1" applyBorder="1" applyAlignment="1" applyProtection="1">
      <alignment wrapText="1"/>
      <protection hidden="1"/>
    </xf>
    <xf numFmtId="0" fontId="44" fillId="0" borderId="14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5" borderId="41" xfId="0" applyFont="1" applyFill="1" applyBorder="1" applyAlignment="1" applyProtection="1">
      <alignment horizontal="center" vertical="center"/>
      <protection hidden="1"/>
    </xf>
    <xf numFmtId="0" fontId="46" fillId="0" borderId="42" xfId="0" applyFont="1" applyBorder="1" applyAlignment="1" applyProtection="1">
      <alignment horizontal="center" vertical="center" wrapText="1"/>
      <protection hidden="1"/>
    </xf>
    <xf numFmtId="0" fontId="46" fillId="0" borderId="43" xfId="0" applyFont="1" applyBorder="1" applyAlignment="1" applyProtection="1">
      <alignment wrapText="1"/>
      <protection hidden="1"/>
    </xf>
    <xf numFmtId="0" fontId="46" fillId="36" borderId="42" xfId="0" applyFont="1" applyFill="1" applyBorder="1" applyAlignment="1" applyProtection="1">
      <alignment horizontal="center" vertical="center" wrapText="1"/>
      <protection hidden="1"/>
    </xf>
    <xf numFmtId="0" fontId="46" fillId="36" borderId="43" xfId="0" applyFont="1" applyFill="1" applyBorder="1" applyAlignment="1" applyProtection="1">
      <alignment wrapText="1"/>
      <protection hidden="1"/>
    </xf>
    <xf numFmtId="0" fontId="46" fillId="36" borderId="41" xfId="0" applyFont="1" applyFill="1" applyBorder="1" applyAlignment="1" applyProtection="1">
      <alignment horizontal="center" vertical="center" wrapText="1"/>
      <protection hidden="1"/>
    </xf>
    <xf numFmtId="0" fontId="47" fillId="0" borderId="41" xfId="0" applyFont="1" applyBorder="1" applyAlignment="1" applyProtection="1">
      <alignment/>
      <protection hidden="1"/>
    </xf>
    <xf numFmtId="0" fontId="45" fillId="0" borderId="14" xfId="0" applyFont="1" applyBorder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165" fontId="0" fillId="34" borderId="15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44" xfId="0" applyFont="1" applyBorder="1" applyAlignment="1" applyProtection="1">
      <alignment horizontal="center" vertical="center" wrapText="1"/>
      <protection hidden="1"/>
    </xf>
    <xf numFmtId="0" fontId="45" fillId="0" borderId="15" xfId="0" applyFont="1" applyBorder="1" applyAlignment="1" applyProtection="1">
      <alignment horizontal="center" vertical="center" wrapText="1"/>
      <protection hidden="1"/>
    </xf>
    <xf numFmtId="164" fontId="0" fillId="34" borderId="13" xfId="0" applyNumberFormat="1" applyFill="1" applyBorder="1" applyAlignment="1" applyProtection="1">
      <alignment horizontal="center" vertical="center"/>
      <protection hidden="1" locked="0"/>
    </xf>
    <xf numFmtId="164" fontId="0" fillId="34" borderId="16" xfId="0" applyNumberFormat="1" applyFill="1" applyBorder="1" applyAlignment="1" applyProtection="1">
      <alignment horizontal="center" vertical="center"/>
      <protection hidden="1" locked="0"/>
    </xf>
    <xf numFmtId="0" fontId="45" fillId="0" borderId="19" xfId="0" applyFont="1" applyBorder="1" applyAlignment="1" applyProtection="1">
      <alignment horizontal="center" vertical="center"/>
      <protection hidden="1"/>
    </xf>
    <xf numFmtId="164" fontId="0" fillId="34" borderId="22" xfId="0" applyNumberFormat="1" applyFill="1" applyBorder="1" applyAlignment="1" applyProtection="1">
      <alignment horizontal="center" vertical="center"/>
      <protection hidden="1" locked="0"/>
    </xf>
    <xf numFmtId="0" fontId="44" fillId="0" borderId="45" xfId="0" applyFont="1" applyBorder="1" applyAlignment="1" applyProtection="1">
      <alignment/>
      <protection hidden="1"/>
    </xf>
    <xf numFmtId="0" fontId="44" fillId="0" borderId="10" xfId="0" applyFont="1" applyBorder="1" applyAlignment="1" applyProtection="1">
      <alignment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34" borderId="17" xfId="0" applyNumberFormat="1" applyFill="1" applyBorder="1" applyAlignment="1" applyProtection="1">
      <alignment horizontal="center" vertical="center"/>
      <protection hidden="1" locked="0"/>
    </xf>
    <xf numFmtId="164" fontId="0" fillId="34" borderId="46" xfId="0" applyNumberFormat="1" applyFill="1" applyBorder="1" applyAlignment="1" applyProtection="1">
      <alignment horizontal="center" vertical="center"/>
      <protection hidden="1" locked="0"/>
    </xf>
    <xf numFmtId="0" fontId="44" fillId="0" borderId="47" xfId="0" applyFont="1" applyBorder="1" applyAlignment="1" applyProtection="1">
      <alignment/>
      <protection hidden="1"/>
    </xf>
    <xf numFmtId="0" fontId="44" fillId="0" borderId="15" xfId="0" applyFont="1" applyBorder="1" applyAlignment="1" applyProtection="1">
      <alignment/>
      <protection hidden="1"/>
    </xf>
    <xf numFmtId="0" fontId="44" fillId="0" borderId="14" xfId="0" applyFont="1" applyFill="1" applyBorder="1" applyAlignment="1" applyProtection="1">
      <alignment/>
      <protection hidden="1"/>
    </xf>
    <xf numFmtId="0" fontId="44" fillId="0" borderId="15" xfId="0" applyFont="1" applyFill="1" applyBorder="1" applyAlignment="1" applyProtection="1">
      <alignment/>
      <protection hidden="1"/>
    </xf>
    <xf numFmtId="0" fontId="44" fillId="0" borderId="14" xfId="0" applyFont="1" applyFill="1" applyBorder="1" applyAlignment="1" applyProtection="1">
      <alignment wrapText="1"/>
      <protection hidden="1"/>
    </xf>
    <xf numFmtId="0" fontId="44" fillId="0" borderId="15" xfId="0" applyFont="1" applyFill="1" applyBorder="1" applyAlignment="1" applyProtection="1">
      <alignment wrapText="1"/>
      <protection hidden="1"/>
    </xf>
    <xf numFmtId="0" fontId="44" fillId="0" borderId="14" xfId="0" applyFont="1" applyBorder="1" applyAlignment="1" applyProtection="1">
      <alignment horizontal="left"/>
      <protection hidden="1"/>
    </xf>
    <xf numFmtId="0" fontId="44" fillId="0" borderId="15" xfId="0" applyFont="1" applyBorder="1" applyAlignment="1" applyProtection="1">
      <alignment horizontal="left"/>
      <protection hidden="1"/>
    </xf>
    <xf numFmtId="49" fontId="44" fillId="0" borderId="14" xfId="0" applyNumberFormat="1" applyFont="1" applyFill="1" applyBorder="1" applyAlignment="1" applyProtection="1">
      <alignment wrapText="1"/>
      <protection hidden="1"/>
    </xf>
    <xf numFmtId="49" fontId="44" fillId="0" borderId="15" xfId="0" applyNumberFormat="1" applyFont="1" applyFill="1" applyBorder="1" applyAlignment="1" applyProtection="1">
      <alignment wrapText="1"/>
      <protection hidden="1"/>
    </xf>
    <xf numFmtId="0" fontId="44" fillId="0" borderId="45" xfId="0" applyFont="1" applyFill="1" applyBorder="1" applyAlignment="1" applyProtection="1">
      <alignment/>
      <protection hidden="1"/>
    </xf>
    <xf numFmtId="0" fontId="44" fillId="0" borderId="10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44" fillId="0" borderId="49" xfId="0" applyFont="1" applyBorder="1" applyAlignment="1" applyProtection="1">
      <alignment horizontal="center"/>
      <protection hidden="1"/>
    </xf>
    <xf numFmtId="0" fontId="44" fillId="0" borderId="14" xfId="0" applyFont="1" applyBorder="1" applyAlignment="1" applyProtection="1">
      <alignment wrapText="1"/>
      <protection hidden="1"/>
    </xf>
    <xf numFmtId="0" fontId="44" fillId="0" borderId="15" xfId="0" applyFont="1" applyBorder="1" applyAlignment="1" applyProtection="1">
      <alignment wrapText="1"/>
      <protection hidden="1"/>
    </xf>
    <xf numFmtId="0" fontId="48" fillId="0" borderId="50" xfId="0" applyFont="1" applyBorder="1" applyAlignment="1" applyProtection="1">
      <alignment horizontal="center"/>
      <protection hidden="1"/>
    </xf>
    <xf numFmtId="0" fontId="48" fillId="0" borderId="44" xfId="0" applyFont="1" applyBorder="1" applyAlignment="1" applyProtection="1">
      <alignment horizontal="center"/>
      <protection hidden="1"/>
    </xf>
    <xf numFmtId="0" fontId="48" fillId="0" borderId="13" xfId="0" applyFont="1" applyBorder="1" applyAlignment="1" applyProtection="1">
      <alignment horizontal="center"/>
      <protection hidden="1"/>
    </xf>
    <xf numFmtId="0" fontId="45" fillId="0" borderId="14" xfId="0" applyFont="1" applyBorder="1" applyAlignment="1" applyProtection="1">
      <alignment horizontal="center" vertical="center" wrapText="1"/>
      <protection hidden="1"/>
    </xf>
    <xf numFmtId="0" fontId="45" fillId="0" borderId="50" xfId="0" applyFont="1" applyBorder="1" applyAlignment="1" applyProtection="1">
      <alignment horizontal="center" vertical="center"/>
      <protection hidden="1"/>
    </xf>
    <xf numFmtId="0" fontId="45" fillId="0" borderId="44" xfId="0" applyFont="1" applyBorder="1" applyAlignment="1" applyProtection="1">
      <alignment horizontal="center" vertical="center"/>
      <protection hidden="1"/>
    </xf>
    <xf numFmtId="0" fontId="44" fillId="0" borderId="48" xfId="0" applyFont="1" applyBorder="1" applyAlignment="1" applyProtection="1">
      <alignment/>
      <protection hidden="1"/>
    </xf>
    <xf numFmtId="0" fontId="44" fillId="0" borderId="49" xfId="0" applyFont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 horizontal="center"/>
      <protection hidden="1" locked="0"/>
    </xf>
    <xf numFmtId="0" fontId="0" fillId="34" borderId="30" xfId="0" applyFont="1" applyFill="1" applyBorder="1" applyAlignment="1" applyProtection="1">
      <alignment horizontal="center"/>
      <protection hidden="1" locked="0"/>
    </xf>
    <xf numFmtId="0" fontId="45" fillId="0" borderId="18" xfId="0" applyFont="1" applyBorder="1" applyAlignment="1" applyProtection="1">
      <alignment horizontal="center" vertical="center" wrapText="1"/>
      <protection hidden="1"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 locked="0"/>
    </xf>
    <xf numFmtId="165" fontId="0" fillId="34" borderId="44" xfId="0" applyNumberFormat="1" applyFont="1" applyFill="1" applyBorder="1" applyAlignment="1" applyProtection="1">
      <alignment horizontal="center" vertical="center"/>
      <protection hidden="1" locked="0"/>
    </xf>
    <xf numFmtId="0" fontId="44" fillId="0" borderId="51" xfId="0" applyFont="1" applyBorder="1" applyAlignment="1" applyProtection="1">
      <alignment/>
      <protection hidden="1"/>
    </xf>
    <xf numFmtId="0" fontId="44" fillId="0" borderId="52" xfId="0" applyFont="1" applyBorder="1" applyAlignment="1" applyProtection="1">
      <alignment/>
      <protection hidden="1"/>
    </xf>
    <xf numFmtId="0" fontId="44" fillId="0" borderId="53" xfId="0" applyFont="1" applyBorder="1" applyAlignment="1" applyProtection="1">
      <alignment/>
      <protection hidden="1"/>
    </xf>
    <xf numFmtId="0" fontId="44" fillId="0" borderId="54" xfId="0" applyFont="1" applyBorder="1" applyAlignment="1" applyProtection="1">
      <alignment/>
      <protection hidden="1"/>
    </xf>
    <xf numFmtId="0" fontId="44" fillId="0" borderId="55" xfId="0" applyFont="1" applyBorder="1" applyAlignment="1" applyProtection="1">
      <alignment/>
      <protection hidden="1"/>
    </xf>
    <xf numFmtId="0" fontId="44" fillId="0" borderId="56" xfId="0" applyFont="1" applyBorder="1" applyAlignment="1" applyProtection="1">
      <alignment/>
      <protection hidden="1"/>
    </xf>
    <xf numFmtId="0" fontId="44" fillId="0" borderId="48" xfId="0" applyFont="1" applyBorder="1" applyAlignment="1" applyProtection="1">
      <alignment vertical="top"/>
      <protection hidden="1"/>
    </xf>
    <xf numFmtId="0" fontId="44" fillId="0" borderId="36" xfId="0" applyFont="1" applyBorder="1" applyAlignment="1" applyProtection="1">
      <alignment vertical="top"/>
      <protection hidden="1"/>
    </xf>
    <xf numFmtId="0" fontId="44" fillId="0" borderId="49" xfId="0" applyFont="1" applyBorder="1" applyAlignment="1" applyProtection="1">
      <alignment vertical="top"/>
      <protection hidden="1"/>
    </xf>
    <xf numFmtId="0" fontId="0" fillId="34" borderId="57" xfId="0" applyNumberFormat="1" applyFont="1" applyFill="1" applyBorder="1" applyAlignment="1" applyProtection="1">
      <alignment horizontal="center" vertical="top"/>
      <protection hidden="1" locked="0"/>
    </xf>
    <xf numFmtId="0" fontId="0" fillId="34" borderId="30" xfId="0" applyNumberFormat="1" applyFont="1" applyFill="1" applyBorder="1" applyAlignment="1" applyProtection="1">
      <alignment horizontal="center" vertical="top"/>
      <protection hidden="1" locked="0"/>
    </xf>
    <xf numFmtId="1" fontId="0" fillId="0" borderId="12" xfId="0" applyNumberFormat="1" applyFont="1" applyBorder="1" applyAlignment="1" applyProtection="1">
      <alignment horizontal="center"/>
      <protection hidden="1"/>
    </xf>
    <xf numFmtId="1" fontId="0" fillId="0" borderId="30" xfId="0" applyNumberFormat="1" applyFont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 locked="0"/>
    </xf>
    <xf numFmtId="0" fontId="0" fillId="34" borderId="30" xfId="0" applyFont="1" applyFill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164" fontId="0" fillId="0" borderId="32" xfId="0" applyNumberFormat="1" applyFont="1" applyBorder="1" applyAlignment="1" applyProtection="1">
      <alignment horizontal="center" vertical="center" wrapText="1"/>
      <protection hidden="1"/>
    </xf>
    <xf numFmtId="164" fontId="0" fillId="0" borderId="34" xfId="0" applyNumberFormat="1" applyFont="1" applyBorder="1" applyAlignment="1" applyProtection="1">
      <alignment horizontal="center" vertical="center" wrapText="1"/>
      <protection hidden="1"/>
    </xf>
    <xf numFmtId="164" fontId="0" fillId="0" borderId="58" xfId="0" applyNumberFormat="1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42" fillId="0" borderId="50" xfId="0" applyFont="1" applyBorder="1" applyAlignment="1" applyProtection="1">
      <alignment horizontal="center"/>
      <protection hidden="1"/>
    </xf>
    <xf numFmtId="0" fontId="42" fillId="0" borderId="44" xfId="0" applyFont="1" applyBorder="1" applyAlignment="1" applyProtection="1">
      <alignment horizontal="center"/>
      <protection hidden="1"/>
    </xf>
    <xf numFmtId="0" fontId="44" fillId="0" borderId="14" xfId="0" applyFont="1" applyBorder="1" applyAlignment="1" applyProtection="1">
      <alignment vertical="center" wrapText="1"/>
      <protection hidden="1"/>
    </xf>
    <xf numFmtId="164" fontId="45" fillId="0" borderId="60" xfId="0" applyNumberFormat="1" applyFont="1" applyBorder="1" applyAlignment="1" applyProtection="1">
      <alignment horizontal="center" vertical="center" wrapText="1"/>
      <protection hidden="1"/>
    </xf>
    <xf numFmtId="164" fontId="45" fillId="0" borderId="61" xfId="0" applyNumberFormat="1" applyFont="1" applyBorder="1" applyAlignment="1" applyProtection="1">
      <alignment horizontal="center" vertical="center" wrapText="1"/>
      <protection hidden="1"/>
    </xf>
    <xf numFmtId="0" fontId="44" fillId="33" borderId="15" xfId="0" applyFont="1" applyFill="1" applyBorder="1" applyAlignment="1" applyProtection="1">
      <alignment horizontal="center" vertical="center" wrapText="1"/>
      <protection hidden="1"/>
    </xf>
    <xf numFmtId="0" fontId="44" fillId="33" borderId="15" xfId="0" applyFont="1" applyFill="1" applyBorder="1" applyAlignment="1" applyProtection="1">
      <alignment wrapText="1"/>
      <protection hidden="1"/>
    </xf>
    <xf numFmtId="0" fontId="28" fillId="33" borderId="32" xfId="0" applyFont="1" applyFill="1" applyBorder="1" applyAlignment="1" applyProtection="1">
      <alignment horizontal="center" vertical="center" wrapText="1"/>
      <protection hidden="1"/>
    </xf>
    <xf numFmtId="0" fontId="28" fillId="33" borderId="33" xfId="0" applyFont="1" applyFill="1" applyBorder="1" applyAlignment="1" applyProtection="1">
      <alignment horizontal="center" vertical="center" wrapText="1"/>
      <protection hidden="1"/>
    </xf>
    <xf numFmtId="0" fontId="28" fillId="33" borderId="34" xfId="0" applyFont="1" applyFill="1" applyBorder="1" applyAlignment="1" applyProtection="1">
      <alignment horizontal="center" vertical="center" wrapText="1"/>
      <protection hidden="1"/>
    </xf>
    <xf numFmtId="0" fontId="28" fillId="33" borderId="35" xfId="0" applyFont="1" applyFill="1" applyBorder="1" applyAlignment="1" applyProtection="1">
      <alignment horizontal="center" vertical="center" wrapText="1"/>
      <protection hidden="1"/>
    </xf>
    <xf numFmtId="0" fontId="0" fillId="0" borderId="60" xfId="0" applyFont="1" applyBorder="1" applyAlignment="1" applyProtection="1">
      <alignment horizontal="center" vertical="center" wrapText="1"/>
      <protection hidden="1"/>
    </xf>
    <xf numFmtId="0" fontId="0" fillId="0" borderId="61" xfId="0" applyFon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wrapText="1"/>
      <protection hidden="1"/>
    </xf>
    <xf numFmtId="0" fontId="0" fillId="0" borderId="59" xfId="0" applyBorder="1" applyAlignment="1" applyProtection="1">
      <alignment horizontal="center" wrapText="1"/>
      <protection hidden="1"/>
    </xf>
    <xf numFmtId="0" fontId="0" fillId="34" borderId="58" xfId="0" applyFill="1" applyBorder="1" applyAlignment="1" applyProtection="1">
      <alignment horizontal="center" vertical="center"/>
      <protection hidden="1" locked="0"/>
    </xf>
    <xf numFmtId="0" fontId="0" fillId="34" borderId="59" xfId="0" applyFill="1" applyBorder="1" applyAlignment="1" applyProtection="1">
      <alignment horizontal="center" vertical="center"/>
      <protection hidden="1" locked="0"/>
    </xf>
    <xf numFmtId="0" fontId="44" fillId="0" borderId="62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24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66" fontId="0" fillId="0" borderId="31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0" fontId="48" fillId="0" borderId="63" xfId="0" applyFont="1" applyBorder="1" applyAlignment="1" applyProtection="1">
      <alignment horizontal="center"/>
      <protection hidden="1"/>
    </xf>
    <xf numFmtId="0" fontId="48" fillId="0" borderId="62" xfId="0" applyFont="1" applyBorder="1" applyAlignment="1" applyProtection="1">
      <alignment horizontal="center"/>
      <protection hidden="1"/>
    </xf>
    <xf numFmtId="0" fontId="48" fillId="0" borderId="64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65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49" fontId="0" fillId="0" borderId="65" xfId="0" applyNumberFormat="1" applyBorder="1" applyAlignment="1" applyProtection="1">
      <alignment/>
      <protection hidden="1"/>
    </xf>
    <xf numFmtId="0" fontId="0" fillId="0" borderId="69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1" fontId="0" fillId="0" borderId="52" xfId="0" applyNumberFormat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166" fontId="0" fillId="0" borderId="27" xfId="0" applyNumberFormat="1" applyBorder="1" applyAlignment="1" applyProtection="1">
      <alignment horizontal="center" vertical="center"/>
      <protection hidden="1"/>
    </xf>
    <xf numFmtId="166" fontId="0" fillId="0" borderId="27" xfId="0" applyNumberFormat="1" applyBorder="1" applyAlignment="1" applyProtection="1">
      <alignment/>
      <protection hidden="1"/>
    </xf>
    <xf numFmtId="166" fontId="0" fillId="0" borderId="27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11</xdr:row>
      <xdr:rowOff>9525</xdr:rowOff>
    </xdr:from>
    <xdr:to>
      <xdr:col>4</xdr:col>
      <xdr:colOff>266700</xdr:colOff>
      <xdr:row>11</xdr:row>
      <xdr:rowOff>180975</xdr:rowOff>
    </xdr:to>
    <xdr:sp>
      <xdr:nvSpPr>
        <xdr:cNvPr id="1" name="Oval 2"/>
        <xdr:cNvSpPr>
          <a:spLocks/>
        </xdr:cNvSpPr>
      </xdr:nvSpPr>
      <xdr:spPr>
        <a:xfrm>
          <a:off x="1619250" y="2152650"/>
          <a:ext cx="161925" cy="1714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RowColHeaders="0" tabSelected="1" zoomScalePageLayoutView="0" workbookViewId="0" topLeftCell="A1">
      <selection activeCell="Q11" sqref="Q11"/>
    </sheetView>
  </sheetViews>
  <sheetFormatPr defaultColWidth="9.140625" defaultRowHeight="15"/>
  <cols>
    <col min="3" max="3" width="4.57421875" style="0" customWidth="1"/>
    <col min="4" max="4" width="11.57421875" style="0" bestFit="1" customWidth="1"/>
    <col min="7" max="7" width="10.8515625" style="0" bestFit="1" customWidth="1"/>
    <col min="8" max="8" width="7.7109375" style="0" customWidth="1"/>
    <col min="10" max="10" width="9.421875" style="0" bestFit="1" customWidth="1"/>
    <col min="11" max="11" width="10.8515625" style="0" bestFit="1" customWidth="1"/>
    <col min="13" max="13" width="10.00390625" style="0" bestFit="1" customWidth="1"/>
  </cols>
  <sheetData>
    <row r="1" spans="1:17" ht="15.75">
      <c r="A1" s="140" t="s">
        <v>0</v>
      </c>
      <c r="B1" s="141"/>
      <c r="C1" s="141"/>
      <c r="D1" s="141"/>
      <c r="E1" s="142"/>
      <c r="F1" s="155" t="s">
        <v>30</v>
      </c>
      <c r="G1" s="156"/>
      <c r="H1" s="157"/>
      <c r="I1" s="136" t="s">
        <v>54</v>
      </c>
      <c r="J1" s="137"/>
      <c r="K1" s="136" t="s">
        <v>55</v>
      </c>
      <c r="L1" s="137"/>
      <c r="M1" s="136" t="s">
        <v>56</v>
      </c>
      <c r="N1" s="137"/>
      <c r="P1" s="3"/>
      <c r="Q1" s="3"/>
    </row>
    <row r="2" spans="1:17" ht="15.75" thickBot="1">
      <c r="A2" s="115" t="s">
        <v>1</v>
      </c>
      <c r="B2" s="116"/>
      <c r="C2" s="90"/>
      <c r="D2" s="7" t="s">
        <v>6</v>
      </c>
      <c r="E2" s="61">
        <v>83.3</v>
      </c>
      <c r="F2" s="158" t="s">
        <v>31</v>
      </c>
      <c r="G2" s="159"/>
      <c r="H2" s="160"/>
      <c r="I2" s="148">
        <v>280</v>
      </c>
      <c r="J2" s="149"/>
      <c r="K2" s="168">
        <v>230</v>
      </c>
      <c r="L2" s="169"/>
      <c r="M2" s="170">
        <v>0</v>
      </c>
      <c r="N2" s="171"/>
      <c r="P2" s="3"/>
      <c r="Q2" s="3"/>
    </row>
    <row r="3" spans="1:17" ht="15">
      <c r="A3" s="115" t="s">
        <v>2</v>
      </c>
      <c r="B3" s="116"/>
      <c r="C3" s="90"/>
      <c r="D3" s="7" t="s">
        <v>7</v>
      </c>
      <c r="E3" s="61">
        <v>17</v>
      </c>
      <c r="F3" s="161" t="s">
        <v>32</v>
      </c>
      <c r="G3" s="162"/>
      <c r="H3" s="163"/>
      <c r="I3" s="146" t="s">
        <v>49</v>
      </c>
      <c r="J3" s="147"/>
      <c r="K3" s="146" t="s">
        <v>51</v>
      </c>
      <c r="L3" s="147"/>
      <c r="M3" s="146" t="s">
        <v>52</v>
      </c>
      <c r="N3" s="147"/>
      <c r="P3" s="6"/>
      <c r="Q3" s="4"/>
    </row>
    <row r="4" spans="1:17" ht="15.75" thickBot="1">
      <c r="A4" s="115" t="s">
        <v>3</v>
      </c>
      <c r="B4" s="116"/>
      <c r="C4" s="90"/>
      <c r="D4" s="7" t="s">
        <v>8</v>
      </c>
      <c r="E4" s="61">
        <v>36</v>
      </c>
      <c r="F4" s="8" t="s">
        <v>33</v>
      </c>
      <c r="G4" s="164">
        <v>83</v>
      </c>
      <c r="H4" s="165"/>
      <c r="I4" s="9" t="s">
        <v>50</v>
      </c>
      <c r="J4" s="62">
        <v>25</v>
      </c>
      <c r="K4" s="166">
        <f>(G4/J4)*60</f>
        <v>199.2</v>
      </c>
      <c r="L4" s="167"/>
      <c r="M4" s="9" t="s">
        <v>53</v>
      </c>
      <c r="N4" s="63">
        <v>2.3</v>
      </c>
      <c r="P4" s="6"/>
      <c r="Q4" s="4"/>
    </row>
    <row r="5" spans="1:16" ht="15">
      <c r="A5" s="115" t="s">
        <v>4</v>
      </c>
      <c r="B5" s="116"/>
      <c r="C5" s="90"/>
      <c r="D5" s="7" t="s">
        <v>9</v>
      </c>
      <c r="E5" s="1">
        <f>E2+E3+E4</f>
        <v>136.3</v>
      </c>
      <c r="F5" s="176" t="s">
        <v>48</v>
      </c>
      <c r="G5" s="177"/>
      <c r="H5" s="177"/>
      <c r="I5" s="177"/>
      <c r="J5" s="177"/>
      <c r="K5" s="177"/>
      <c r="L5" s="177"/>
      <c r="M5" s="177"/>
      <c r="N5" s="10"/>
      <c r="P5" s="5"/>
    </row>
    <row r="6" spans="1:16" ht="15">
      <c r="A6" s="133" t="s">
        <v>5</v>
      </c>
      <c r="B6" s="134"/>
      <c r="C6" s="90"/>
      <c r="D6" s="7" t="s">
        <v>10</v>
      </c>
      <c r="E6" s="1">
        <f>E5-1.3</f>
        <v>135</v>
      </c>
      <c r="F6" s="11" t="s">
        <v>34</v>
      </c>
      <c r="G6" s="12" t="s">
        <v>40</v>
      </c>
      <c r="H6" s="12" t="s">
        <v>41</v>
      </c>
      <c r="I6" s="12" t="s">
        <v>42</v>
      </c>
      <c r="J6" s="12" t="s">
        <v>43</v>
      </c>
      <c r="K6" s="12" t="s">
        <v>44</v>
      </c>
      <c r="L6" s="12" t="s">
        <v>45</v>
      </c>
      <c r="M6" s="12" t="s">
        <v>46</v>
      </c>
      <c r="N6" s="13" t="s">
        <v>47</v>
      </c>
      <c r="P6" s="5"/>
    </row>
    <row r="7" spans="1:16" ht="24" customHeight="1">
      <c r="A7" s="14"/>
      <c r="B7" s="15"/>
      <c r="C7" s="135" t="s">
        <v>11</v>
      </c>
      <c r="D7" s="90"/>
      <c r="E7" s="16" t="s">
        <v>12</v>
      </c>
      <c r="F7" s="17" t="s">
        <v>35</v>
      </c>
      <c r="G7" s="18">
        <f>E6</f>
        <v>135</v>
      </c>
      <c r="H7" s="19">
        <f>K2</f>
        <v>230</v>
      </c>
      <c r="I7" s="20" t="s">
        <v>75</v>
      </c>
      <c r="J7" s="21">
        <f>J4</f>
        <v>25</v>
      </c>
      <c r="K7" s="15"/>
      <c r="L7" s="15"/>
      <c r="M7" s="19">
        <f>N4</f>
        <v>2.3</v>
      </c>
      <c r="N7" s="22"/>
      <c r="P7" s="5"/>
    </row>
    <row r="8" spans="1:16" ht="24" customHeight="1">
      <c r="A8" s="125" t="s">
        <v>13</v>
      </c>
      <c r="B8" s="126"/>
      <c r="C8" s="58">
        <v>4</v>
      </c>
      <c r="D8" s="59">
        <v>8</v>
      </c>
      <c r="E8" s="23">
        <f>N10</f>
        <v>18.653333333333336</v>
      </c>
      <c r="F8" s="24" t="s">
        <v>36</v>
      </c>
      <c r="G8" s="18">
        <f>N4</f>
        <v>2.3</v>
      </c>
      <c r="H8" s="25"/>
      <c r="I8" s="15"/>
      <c r="J8" s="15"/>
      <c r="K8" s="15"/>
      <c r="L8" s="15"/>
      <c r="M8" s="15"/>
      <c r="N8" s="22"/>
      <c r="P8" s="5"/>
    </row>
    <row r="9" spans="1:16" ht="24" customHeight="1" thickBot="1">
      <c r="A9" s="125" t="s">
        <v>14</v>
      </c>
      <c r="B9" s="126"/>
      <c r="C9" s="73">
        <v>19</v>
      </c>
      <c r="D9" s="74"/>
      <c r="E9" s="23">
        <f>((C9/60)*L12)/1000</f>
        <v>1.3553333333333333</v>
      </c>
      <c r="F9" s="24" t="s">
        <v>37</v>
      </c>
      <c r="G9" s="18">
        <f>G7-G8</f>
        <v>132.7</v>
      </c>
      <c r="H9" s="19">
        <f>K2</f>
        <v>230</v>
      </c>
      <c r="I9" s="21">
        <f>J9-J7</f>
        <v>223</v>
      </c>
      <c r="J9" s="21">
        <f>(C8*60)+D8</f>
        <v>248</v>
      </c>
      <c r="K9" s="64">
        <v>1130</v>
      </c>
      <c r="L9" s="19">
        <f>K9*4</f>
        <v>4520</v>
      </c>
      <c r="M9" s="18">
        <f>((I9/60)*L9)/1000</f>
        <v>16.799333333333333</v>
      </c>
      <c r="N9" s="26"/>
      <c r="P9" s="5"/>
    </row>
    <row r="10" spans="1:16" ht="15.75" thickTop="1">
      <c r="A10" s="27" t="s">
        <v>15</v>
      </c>
      <c r="B10" s="60">
        <v>3640</v>
      </c>
      <c r="C10" s="75">
        <v>45</v>
      </c>
      <c r="D10" s="76"/>
      <c r="E10" s="117">
        <f>((C10/60)*B10)/1000</f>
        <v>2.73</v>
      </c>
      <c r="F10" s="178" t="s">
        <v>38</v>
      </c>
      <c r="G10" s="179">
        <f>M9</f>
        <v>16.799333333333333</v>
      </c>
      <c r="H10" s="181"/>
      <c r="I10" s="182"/>
      <c r="J10" s="183" t="s">
        <v>76</v>
      </c>
      <c r="K10" s="184"/>
      <c r="L10" s="187">
        <f>(L9+L12)/2</f>
        <v>4400</v>
      </c>
      <c r="M10" s="172">
        <f>((I9/60)*L10)/1000</f>
        <v>16.353333333333335</v>
      </c>
      <c r="N10" s="174">
        <f>M10+M7</f>
        <v>18.653333333333336</v>
      </c>
      <c r="P10" s="5"/>
    </row>
    <row r="11" spans="1:16" ht="15.75" thickBot="1">
      <c r="A11" s="125" t="s">
        <v>16</v>
      </c>
      <c r="B11" s="126"/>
      <c r="C11" s="77"/>
      <c r="D11" s="78"/>
      <c r="E11" s="118"/>
      <c r="F11" s="178"/>
      <c r="G11" s="180"/>
      <c r="H11" s="181"/>
      <c r="I11" s="182"/>
      <c r="J11" s="185"/>
      <c r="K11" s="186"/>
      <c r="L11" s="188"/>
      <c r="M11" s="173"/>
      <c r="N11" s="175"/>
      <c r="P11" s="5"/>
    </row>
    <row r="12" spans="1:16" ht="24" customHeight="1" thickBot="1" thickTop="1">
      <c r="A12" s="125" t="s">
        <v>17</v>
      </c>
      <c r="B12" s="126"/>
      <c r="C12" s="73">
        <v>30</v>
      </c>
      <c r="D12" s="74"/>
      <c r="E12" s="23">
        <f>(((C12/60)*B10)/1000)+A26+A27+A28+A29</f>
        <v>1.82</v>
      </c>
      <c r="F12" s="28" t="s">
        <v>39</v>
      </c>
      <c r="G12" s="29">
        <f>G9-G10</f>
        <v>115.90066666666665</v>
      </c>
      <c r="H12" s="30">
        <f>K2</f>
        <v>230</v>
      </c>
      <c r="I12" s="31"/>
      <c r="J12" s="31"/>
      <c r="K12" s="65">
        <v>1070</v>
      </c>
      <c r="L12" s="30">
        <f>K12*4</f>
        <v>4280</v>
      </c>
      <c r="M12" s="32" t="s">
        <v>77</v>
      </c>
      <c r="N12" s="33"/>
      <c r="P12" s="5"/>
    </row>
    <row r="13" spans="1:16" ht="24" customHeight="1" thickBot="1">
      <c r="A13" s="131" t="s">
        <v>18</v>
      </c>
      <c r="B13" s="132"/>
      <c r="C13" s="73">
        <v>13</v>
      </c>
      <c r="D13" s="74"/>
      <c r="E13" s="34">
        <f>(((C13/60)*L12)/1000)+A30</f>
        <v>0.9273333333333333</v>
      </c>
      <c r="F13" s="2"/>
      <c r="G13" s="2"/>
      <c r="H13" s="2"/>
      <c r="I13" s="2"/>
      <c r="J13" s="2"/>
      <c r="K13" s="2"/>
      <c r="L13" s="2"/>
      <c r="M13" s="2"/>
      <c r="N13" s="2"/>
      <c r="P13" s="5"/>
    </row>
    <row r="14" spans="1:14" ht="15.75" customHeight="1">
      <c r="A14" s="35" t="s">
        <v>21</v>
      </c>
      <c r="B14" s="12" t="s">
        <v>19</v>
      </c>
      <c r="C14" s="79"/>
      <c r="D14" s="80"/>
      <c r="E14" s="119">
        <f>4+A31</f>
        <v>5</v>
      </c>
      <c r="F14" s="2"/>
      <c r="G14" s="144" t="s">
        <v>78</v>
      </c>
      <c r="H14" s="145"/>
      <c r="I14" s="145"/>
      <c r="J14" s="154"/>
      <c r="K14" s="109" t="s">
        <v>83</v>
      </c>
      <c r="L14" s="109"/>
      <c r="M14" s="109"/>
      <c r="N14" s="111"/>
    </row>
    <row r="15" spans="1:14" ht="15.75" customHeight="1">
      <c r="A15" s="123" t="s">
        <v>20</v>
      </c>
      <c r="B15" s="124"/>
      <c r="C15" s="81"/>
      <c r="D15" s="82"/>
      <c r="E15" s="120"/>
      <c r="F15" s="2"/>
      <c r="G15" s="106"/>
      <c r="H15" s="107"/>
      <c r="I15" s="107"/>
      <c r="J15" s="108"/>
      <c r="K15" s="110"/>
      <c r="L15" s="110"/>
      <c r="M15" s="110"/>
      <c r="N15" s="112"/>
    </row>
    <row r="16" spans="1:14" ht="24" customHeight="1">
      <c r="A16" s="125" t="s">
        <v>22</v>
      </c>
      <c r="B16" s="126"/>
      <c r="C16" s="84"/>
      <c r="D16" s="85"/>
      <c r="E16" s="34">
        <f>N14+B26+B27+N18</f>
        <v>1.5</v>
      </c>
      <c r="F16" s="2"/>
      <c r="G16" s="106" t="s">
        <v>79</v>
      </c>
      <c r="H16" s="107"/>
      <c r="I16" s="107"/>
      <c r="J16" s="66"/>
      <c r="K16" s="110" t="s">
        <v>85</v>
      </c>
      <c r="L16" s="110"/>
      <c r="M16" s="110"/>
      <c r="N16" s="67"/>
    </row>
    <row r="17" spans="1:14" ht="24" customHeight="1">
      <c r="A17" s="127" t="s">
        <v>23</v>
      </c>
      <c r="B17" s="128"/>
      <c r="C17" s="86"/>
      <c r="D17" s="80"/>
      <c r="E17" s="34">
        <f>SUM(E8:E16)</f>
        <v>31.986000000000004</v>
      </c>
      <c r="F17" s="2"/>
      <c r="G17" s="143" t="s">
        <v>80</v>
      </c>
      <c r="H17" s="110"/>
      <c r="I17" s="110"/>
      <c r="J17" s="66"/>
      <c r="K17" s="110" t="s">
        <v>86</v>
      </c>
      <c r="L17" s="110"/>
      <c r="M17" s="110"/>
      <c r="N17" s="67">
        <v>1</v>
      </c>
    </row>
    <row r="18" spans="1:14" ht="15.75" customHeight="1">
      <c r="A18" s="11"/>
      <c r="B18" s="12">
        <v>1.3</v>
      </c>
      <c r="C18" s="87"/>
      <c r="D18" s="88"/>
      <c r="E18" s="119">
        <v>1.3</v>
      </c>
      <c r="F18" s="2"/>
      <c r="G18" s="106" t="s">
        <v>81</v>
      </c>
      <c r="H18" s="107"/>
      <c r="I18" s="107"/>
      <c r="J18" s="108"/>
      <c r="K18" s="107" t="s">
        <v>87</v>
      </c>
      <c r="L18" s="107"/>
      <c r="M18" s="107"/>
      <c r="N18" s="112"/>
    </row>
    <row r="19" spans="1:14" ht="15.75" customHeight="1" thickBot="1">
      <c r="A19" s="129" t="s">
        <v>24</v>
      </c>
      <c r="B19" s="130"/>
      <c r="C19" s="87"/>
      <c r="D19" s="88"/>
      <c r="E19" s="120"/>
      <c r="F19" s="2"/>
      <c r="G19" s="106"/>
      <c r="H19" s="107"/>
      <c r="I19" s="107"/>
      <c r="J19" s="108"/>
      <c r="K19" s="113"/>
      <c r="L19" s="113"/>
      <c r="M19" s="113"/>
      <c r="N19" s="114"/>
    </row>
    <row r="20" spans="1:14" ht="24" customHeight="1" thickBot="1">
      <c r="A20" s="96" t="s">
        <v>25</v>
      </c>
      <c r="B20" s="124"/>
      <c r="C20" s="81"/>
      <c r="D20" s="82"/>
      <c r="E20" s="34">
        <f>E17+E18</f>
        <v>33.286</v>
      </c>
      <c r="F20" s="2"/>
      <c r="G20" s="143" t="s">
        <v>84</v>
      </c>
      <c r="H20" s="110"/>
      <c r="I20" s="110"/>
      <c r="J20" s="67"/>
      <c r="K20" s="36"/>
      <c r="L20" s="36"/>
      <c r="M20" s="36"/>
      <c r="N20" s="37"/>
    </row>
    <row r="21" spans="1:14" ht="15.75" thickBot="1">
      <c r="A21" s="96" t="s">
        <v>26</v>
      </c>
      <c r="B21" s="97"/>
      <c r="C21" s="89" t="s">
        <v>29</v>
      </c>
      <c r="D21" s="90"/>
      <c r="E21" s="121">
        <v>36</v>
      </c>
      <c r="F21" s="2"/>
      <c r="G21" s="143" t="s">
        <v>82</v>
      </c>
      <c r="H21" s="110"/>
      <c r="I21" s="110"/>
      <c r="J21" s="152"/>
      <c r="K21" s="36"/>
      <c r="L21" s="99" t="s">
        <v>88</v>
      </c>
      <c r="M21" s="99"/>
      <c r="N21" s="99"/>
    </row>
    <row r="22" spans="1:14" ht="15.75" thickBot="1">
      <c r="A22" s="98"/>
      <c r="B22" s="97"/>
      <c r="C22" s="91">
        <f>((((E21-E18)*1000)/L10)*60)/1440</f>
        <v>0.32859848484848486</v>
      </c>
      <c r="D22" s="90"/>
      <c r="E22" s="122"/>
      <c r="F22" s="2"/>
      <c r="G22" s="150"/>
      <c r="H22" s="151"/>
      <c r="I22" s="151"/>
      <c r="J22" s="153"/>
      <c r="K22" s="36"/>
      <c r="L22" s="100" t="str">
        <f>IF(E23&gt;2.2,"DEFUEL ACFT","")</f>
        <v>DEFUEL ACFT</v>
      </c>
      <c r="M22" s="102">
        <f>IF(E21&lt;E20,"INSUFF. FUEL","")</f>
      </c>
      <c r="N22" s="104">
        <f>IF(E6&gt;=150,"HIGH GROSS WT","")</f>
      </c>
    </row>
    <row r="23" spans="1:14" ht="24" customHeight="1" thickBot="1">
      <c r="A23" s="138" t="s">
        <v>27</v>
      </c>
      <c r="B23" s="139"/>
      <c r="C23" s="86"/>
      <c r="D23" s="80"/>
      <c r="E23" s="34">
        <f>E21-E20</f>
        <v>2.7139999999999986</v>
      </c>
      <c r="F23" s="2"/>
      <c r="G23" s="2"/>
      <c r="H23" s="2"/>
      <c r="I23" s="2"/>
      <c r="J23" s="2"/>
      <c r="K23" s="2"/>
      <c r="L23" s="101"/>
      <c r="M23" s="103"/>
      <c r="N23" s="105"/>
    </row>
    <row r="24" spans="1:14" ht="24" customHeight="1" thickBot="1">
      <c r="A24" s="94" t="s">
        <v>28</v>
      </c>
      <c r="B24" s="95"/>
      <c r="C24" s="92"/>
      <c r="D24" s="93"/>
      <c r="E24" s="38">
        <f>E10+E13+E14+N18</f>
        <v>8.657333333333334</v>
      </c>
      <c r="F24" s="2"/>
      <c r="G24" s="37"/>
      <c r="H24" s="37"/>
      <c r="I24" s="37"/>
      <c r="J24" s="37"/>
      <c r="K24" s="2"/>
      <c r="L24" s="2"/>
      <c r="M24" s="2"/>
      <c r="N24" s="2"/>
    </row>
    <row r="25" spans="1:5" ht="15">
      <c r="A25" s="83" t="s">
        <v>89</v>
      </c>
      <c r="B25" s="83"/>
      <c r="C25" s="83"/>
      <c r="D25" s="83"/>
      <c r="E25" s="83"/>
    </row>
    <row r="26" spans="1:4" ht="15">
      <c r="A26" s="39">
        <f>(J14*50)/1000</f>
        <v>0</v>
      </c>
      <c r="B26" s="39">
        <f>IF(N16=1,1,0)</f>
        <v>0</v>
      </c>
      <c r="C26" s="39"/>
      <c r="D26" s="57"/>
    </row>
    <row r="27" spans="1:4" ht="15">
      <c r="A27" s="39">
        <f>((J16/60)*L12)</f>
        <v>0</v>
      </c>
      <c r="B27" s="39">
        <f>IF(N17=1,1.5,0)</f>
        <v>1.5</v>
      </c>
      <c r="C27" s="39"/>
      <c r="D27" s="57"/>
    </row>
    <row r="28" spans="1:4" ht="15">
      <c r="A28" s="39">
        <f>(J17*100)/1000</f>
        <v>0</v>
      </c>
      <c r="B28" s="39"/>
      <c r="C28" s="39"/>
      <c r="D28" s="57"/>
    </row>
    <row r="29" spans="1:4" ht="15">
      <c r="A29" s="39">
        <f>(J18*50)/1000</f>
        <v>0</v>
      </c>
      <c r="B29" s="39"/>
      <c r="C29" s="39"/>
      <c r="D29" s="57"/>
    </row>
    <row r="30" spans="1:4" ht="15">
      <c r="A30" s="39">
        <f>IF(J20=1,2.2,0)</f>
        <v>0</v>
      </c>
      <c r="B30" s="39"/>
      <c r="C30" s="39"/>
      <c r="D30" s="57"/>
    </row>
    <row r="31" spans="1:4" ht="15">
      <c r="A31" s="39">
        <f>IF(J21=1,2,1)</f>
        <v>1</v>
      </c>
      <c r="B31" s="39"/>
      <c r="C31" s="39"/>
      <c r="D31" s="57"/>
    </row>
    <row r="32" spans="1:4" ht="15">
      <c r="A32" s="57"/>
      <c r="B32" s="57"/>
      <c r="C32" s="57"/>
      <c r="D32" s="57"/>
    </row>
    <row r="33" spans="1:4" ht="15">
      <c r="A33" s="41"/>
      <c r="B33" s="41"/>
      <c r="C33" s="41"/>
      <c r="D33" s="41"/>
    </row>
    <row r="34" spans="1:4" ht="15">
      <c r="A34" s="41"/>
      <c r="B34" s="41"/>
      <c r="C34" s="41"/>
      <c r="D34" s="41"/>
    </row>
    <row r="35" spans="1:4" ht="15">
      <c r="A35" s="41"/>
      <c r="B35" s="41"/>
      <c r="C35" s="41"/>
      <c r="D35" s="41"/>
    </row>
  </sheetData>
  <sheetProtection password="F3FF" sheet="1" objects="1" scenarios="1"/>
  <mergeCells count="77">
    <mergeCell ref="M2:N2"/>
    <mergeCell ref="K3:L3"/>
    <mergeCell ref="M3:N3"/>
    <mergeCell ref="M10:M11"/>
    <mergeCell ref="N10:N11"/>
    <mergeCell ref="F5:M5"/>
    <mergeCell ref="F10:F11"/>
    <mergeCell ref="G10:G11"/>
    <mergeCell ref="H10:H11"/>
    <mergeCell ref="I10:I11"/>
    <mergeCell ref="J10:K11"/>
    <mergeCell ref="L10:L11"/>
    <mergeCell ref="F1:H1"/>
    <mergeCell ref="F2:H2"/>
    <mergeCell ref="F3:H3"/>
    <mergeCell ref="G4:H4"/>
    <mergeCell ref="K4:L4"/>
    <mergeCell ref="K1:L1"/>
    <mergeCell ref="K2:L2"/>
    <mergeCell ref="M1:N1"/>
    <mergeCell ref="A23:B23"/>
    <mergeCell ref="A8:B8"/>
    <mergeCell ref="A9:B9"/>
    <mergeCell ref="A1:E1"/>
    <mergeCell ref="G17:I17"/>
    <mergeCell ref="G14:I15"/>
    <mergeCell ref="I3:J3"/>
    <mergeCell ref="I1:J1"/>
    <mergeCell ref="I2:J2"/>
    <mergeCell ref="G20:I20"/>
    <mergeCell ref="G21:I22"/>
    <mergeCell ref="J21:J22"/>
    <mergeCell ref="J14:J15"/>
    <mergeCell ref="A2:C2"/>
    <mergeCell ref="A3:C3"/>
    <mergeCell ref="A4:C4"/>
    <mergeCell ref="E10:E11"/>
    <mergeCell ref="E14:E15"/>
    <mergeCell ref="E18:E19"/>
    <mergeCell ref="E21:E22"/>
    <mergeCell ref="A15:B15"/>
    <mergeCell ref="A16:B16"/>
    <mergeCell ref="A17:B17"/>
    <mergeCell ref="A19:B19"/>
    <mergeCell ref="A20:B20"/>
    <mergeCell ref="A11:B11"/>
    <mergeCell ref="A12:B12"/>
    <mergeCell ref="A13:B13"/>
    <mergeCell ref="A5:C5"/>
    <mergeCell ref="A6:C6"/>
    <mergeCell ref="C7:D7"/>
    <mergeCell ref="K14:M15"/>
    <mergeCell ref="N14:N15"/>
    <mergeCell ref="K16:M16"/>
    <mergeCell ref="K17:M17"/>
    <mergeCell ref="K18:M19"/>
    <mergeCell ref="N18:N19"/>
    <mergeCell ref="L21:N21"/>
    <mergeCell ref="L22:L23"/>
    <mergeCell ref="M22:M23"/>
    <mergeCell ref="N22:N23"/>
    <mergeCell ref="G16:I16"/>
    <mergeCell ref="G18:I19"/>
    <mergeCell ref="J18:J19"/>
    <mergeCell ref="A25:E25"/>
    <mergeCell ref="C16:D16"/>
    <mergeCell ref="C17:D20"/>
    <mergeCell ref="C21:D21"/>
    <mergeCell ref="C22:D22"/>
    <mergeCell ref="C23:D24"/>
    <mergeCell ref="A24:B24"/>
    <mergeCell ref="A21:B22"/>
    <mergeCell ref="C9:D9"/>
    <mergeCell ref="C10:D11"/>
    <mergeCell ref="C12:D12"/>
    <mergeCell ref="C13:D13"/>
    <mergeCell ref="C14:D1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RowColHeaders="0" zoomScalePageLayoutView="0" workbookViewId="0" topLeftCell="A1">
      <selection activeCell="O1" sqref="O1:O2"/>
    </sheetView>
  </sheetViews>
  <sheetFormatPr defaultColWidth="9.140625" defaultRowHeight="15"/>
  <cols>
    <col min="1" max="1" width="4.8515625" style="2" bestFit="1" customWidth="1"/>
    <col min="2" max="2" width="9.140625" style="2" customWidth="1"/>
    <col min="3" max="3" width="5.28125" style="2" bestFit="1" customWidth="1"/>
    <col min="4" max="4" width="3.421875" style="2" customWidth="1"/>
    <col min="5" max="5" width="5.140625" style="2" customWidth="1"/>
    <col min="6" max="6" width="4.8515625" style="2" bestFit="1" customWidth="1"/>
    <col min="7" max="7" width="9.140625" style="2" customWidth="1"/>
    <col min="8" max="8" width="5.28125" style="2" bestFit="1" customWidth="1"/>
    <col min="9" max="9" width="3.421875" style="2" customWidth="1"/>
    <col min="10" max="10" width="5.140625" style="2" customWidth="1"/>
    <col min="11" max="16384" width="9.140625" style="2" customWidth="1"/>
  </cols>
  <sheetData>
    <row r="1" spans="1:15" ht="16.5" thickTop="1">
      <c r="A1" s="202" t="s">
        <v>62</v>
      </c>
      <c r="B1" s="203"/>
      <c r="C1" s="203"/>
      <c r="D1" s="203"/>
      <c r="E1" s="203"/>
      <c r="F1" s="203"/>
      <c r="G1" s="203"/>
      <c r="H1" s="203"/>
      <c r="I1" s="203"/>
      <c r="J1" s="204"/>
      <c r="L1" s="189" t="s">
        <v>92</v>
      </c>
      <c r="M1" s="189"/>
      <c r="N1" s="189"/>
      <c r="O1" s="191"/>
    </row>
    <row r="2" spans="1:15" ht="15.75" thickBot="1">
      <c r="A2" s="218" t="s">
        <v>63</v>
      </c>
      <c r="B2" s="219"/>
      <c r="C2" s="210" t="s">
        <v>65</v>
      </c>
      <c r="D2" s="200"/>
      <c r="E2" s="200"/>
      <c r="F2" s="200"/>
      <c r="G2" s="211"/>
      <c r="H2" s="212" t="s">
        <v>64</v>
      </c>
      <c r="I2" s="213"/>
      <c r="J2" s="214"/>
      <c r="L2" s="190"/>
      <c r="M2" s="190"/>
      <c r="N2" s="190"/>
      <c r="O2" s="192"/>
    </row>
    <row r="3" spans="1:10" ht="15.75" thickTop="1">
      <c r="A3" s="205"/>
      <c r="B3" s="206"/>
      <c r="C3" s="215"/>
      <c r="D3" s="216"/>
      <c r="E3" s="216"/>
      <c r="F3" s="216"/>
      <c r="G3" s="217"/>
      <c r="H3" s="207"/>
      <c r="I3" s="208"/>
      <c r="J3" s="209"/>
    </row>
    <row r="4" spans="1:14" ht="15">
      <c r="A4" s="42" t="s">
        <v>57</v>
      </c>
      <c r="B4" s="68">
        <v>642</v>
      </c>
      <c r="C4" s="43" t="s">
        <v>11</v>
      </c>
      <c r="D4" s="69">
        <v>1</v>
      </c>
      <c r="E4" s="70">
        <v>56</v>
      </c>
      <c r="F4" s="44" t="s">
        <v>57</v>
      </c>
      <c r="G4" s="68">
        <v>1266</v>
      </c>
      <c r="H4" s="43" t="s">
        <v>11</v>
      </c>
      <c r="I4" s="69">
        <v>3</v>
      </c>
      <c r="J4" s="72">
        <v>35</v>
      </c>
      <c r="L4" s="37"/>
      <c r="M4" s="37"/>
      <c r="N4" s="37"/>
    </row>
    <row r="5" spans="1:10" ht="15">
      <c r="A5" s="42" t="s">
        <v>60</v>
      </c>
      <c r="B5" s="68">
        <v>90</v>
      </c>
      <c r="C5" s="44" t="s">
        <v>60</v>
      </c>
      <c r="D5" s="71"/>
      <c r="E5" s="70">
        <v>25</v>
      </c>
      <c r="F5" s="44" t="s">
        <v>60</v>
      </c>
      <c r="G5" s="68">
        <v>642</v>
      </c>
      <c r="H5" s="44" t="s">
        <v>60</v>
      </c>
      <c r="I5" s="71" t="s">
        <v>90</v>
      </c>
      <c r="J5" s="72">
        <v>56</v>
      </c>
    </row>
    <row r="6" spans="1:10" ht="15">
      <c r="A6" s="42" t="s">
        <v>61</v>
      </c>
      <c r="B6" s="45">
        <f>B4-B5</f>
        <v>552</v>
      </c>
      <c r="C6" s="44" t="s">
        <v>61</v>
      </c>
      <c r="D6" s="194">
        <f>(A17/1440)</f>
        <v>0.06319444444444444</v>
      </c>
      <c r="E6" s="195"/>
      <c r="F6" s="44" t="s">
        <v>61</v>
      </c>
      <c r="G6" s="45">
        <f>G4-G5</f>
        <v>624</v>
      </c>
      <c r="H6" s="44" t="s">
        <v>61</v>
      </c>
      <c r="I6" s="194">
        <f>(B17/1440)</f>
        <v>0.06875</v>
      </c>
      <c r="J6" s="198"/>
    </row>
    <row r="7" spans="1:10" ht="15">
      <c r="A7" s="42" t="s">
        <v>58</v>
      </c>
      <c r="B7" s="46">
        <f>(B6/A17)*60</f>
        <v>363.9560439560439</v>
      </c>
      <c r="C7" s="43" t="s">
        <v>59</v>
      </c>
      <c r="D7" s="196">
        <f>B7-FUELS!I2</f>
        <v>83.95604395604391</v>
      </c>
      <c r="E7" s="197"/>
      <c r="F7" s="44" t="s">
        <v>58</v>
      </c>
      <c r="G7" s="46">
        <f>(G6/B17)*60</f>
        <v>378.1818181818182</v>
      </c>
      <c r="H7" s="43" t="s">
        <v>71</v>
      </c>
      <c r="I7" s="196">
        <f>G7-FUELS!I2</f>
        <v>98.18181818181819</v>
      </c>
      <c r="J7" s="199"/>
    </row>
    <row r="8" spans="1:10" ht="15.75" thickBot="1">
      <c r="A8" s="224" t="s">
        <v>66</v>
      </c>
      <c r="B8" s="213"/>
      <c r="C8" s="213"/>
      <c r="D8" s="200">
        <f>IF(O1=1,B20,B19)</f>
        <v>1266</v>
      </c>
      <c r="E8" s="200"/>
      <c r="F8" s="227" t="s">
        <v>61</v>
      </c>
      <c r="G8" s="47" t="s">
        <v>68</v>
      </c>
      <c r="H8" s="201">
        <f>(D8/D9)*60</f>
        <v>132.2824634655532</v>
      </c>
      <c r="I8" s="201"/>
      <c r="J8" s="48" t="s">
        <v>69</v>
      </c>
    </row>
    <row r="9" spans="1:10" ht="15">
      <c r="A9" s="225" t="s">
        <v>67</v>
      </c>
      <c r="B9" s="226"/>
      <c r="C9" s="226"/>
      <c r="D9" s="229">
        <f>(I7-D7)+(2*FUELS!I2)</f>
        <v>574.2257742257743</v>
      </c>
      <c r="E9" s="229"/>
      <c r="F9" s="228"/>
      <c r="G9" s="49"/>
      <c r="H9" s="230">
        <v>60</v>
      </c>
      <c r="I9" s="230"/>
      <c r="J9" s="50"/>
    </row>
    <row r="10" spans="1:10" ht="15">
      <c r="A10" s="218" t="s">
        <v>70</v>
      </c>
      <c r="B10" s="213"/>
      <c r="C10" s="213"/>
      <c r="D10" s="213"/>
      <c r="E10" s="213"/>
      <c r="F10" s="213"/>
      <c r="G10" s="213"/>
      <c r="H10" s="213"/>
      <c r="I10" s="213"/>
      <c r="J10" s="214"/>
    </row>
    <row r="11" spans="1:10" ht="15">
      <c r="A11" s="51">
        <f>I4</f>
        <v>3</v>
      </c>
      <c r="B11" s="52">
        <f>J4</f>
        <v>35</v>
      </c>
      <c r="C11" s="53" t="s">
        <v>60</v>
      </c>
      <c r="D11" s="231">
        <f>H8/1440</f>
        <v>0.09186282185107862</v>
      </c>
      <c r="E11" s="232"/>
      <c r="F11" s="54" t="s">
        <v>61</v>
      </c>
      <c r="G11" s="55">
        <f>B15-H8</f>
        <v>82.7175365344468</v>
      </c>
      <c r="H11" s="56" t="s">
        <v>91</v>
      </c>
      <c r="I11" s="233">
        <f>G11/1440</f>
        <v>0.05744273370447694</v>
      </c>
      <c r="J11" s="234"/>
    </row>
    <row r="12" spans="1:10" ht="15.75" thickBot="1">
      <c r="A12" s="220" t="s">
        <v>72</v>
      </c>
      <c r="B12" s="221"/>
      <c r="C12" s="222" t="s">
        <v>73</v>
      </c>
      <c r="D12" s="222"/>
      <c r="E12" s="222"/>
      <c r="F12" s="222"/>
      <c r="G12" s="222" t="s">
        <v>74</v>
      </c>
      <c r="H12" s="222"/>
      <c r="I12" s="222"/>
      <c r="J12" s="223"/>
    </row>
    <row r="13" spans="1:10" ht="15.75" thickTop="1">
      <c r="A13" s="193" t="s">
        <v>89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7" ht="15">
      <c r="A14" s="40"/>
      <c r="B14" s="40"/>
      <c r="C14" s="40"/>
      <c r="D14" s="40"/>
      <c r="E14" s="40"/>
      <c r="F14" s="40"/>
      <c r="G14" s="40"/>
    </row>
    <row r="15" spans="1:7" ht="15">
      <c r="A15" s="39">
        <f>(D4*60)+E4</f>
        <v>116</v>
      </c>
      <c r="B15" s="39">
        <f>(I4*60)+J4</f>
        <v>215</v>
      </c>
      <c r="C15" s="40"/>
      <c r="D15" s="40"/>
      <c r="E15" s="40"/>
      <c r="F15" s="40"/>
      <c r="G15" s="40"/>
    </row>
    <row r="16" spans="1:7" ht="15">
      <c r="A16" s="39">
        <f>(D5*60)+E5</f>
        <v>25</v>
      </c>
      <c r="B16" s="39">
        <f>(I5*60)+J5</f>
        <v>116</v>
      </c>
      <c r="C16" s="40"/>
      <c r="D16" s="40"/>
      <c r="E16" s="40"/>
      <c r="F16" s="40"/>
      <c r="G16" s="40"/>
    </row>
    <row r="17" spans="1:7" ht="15">
      <c r="A17" s="39">
        <f>A15-A16</f>
        <v>91</v>
      </c>
      <c r="B17" s="39">
        <f>B15-B16</f>
        <v>99</v>
      </c>
      <c r="C17" s="40"/>
      <c r="D17" s="40"/>
      <c r="E17" s="40"/>
      <c r="F17" s="40"/>
      <c r="G17" s="40"/>
    </row>
    <row r="18" spans="1:7" ht="15">
      <c r="A18" s="39"/>
      <c r="B18" s="39"/>
      <c r="C18" s="40"/>
      <c r="D18" s="40"/>
      <c r="E18" s="40"/>
      <c r="F18" s="40"/>
      <c r="G18" s="40"/>
    </row>
    <row r="19" spans="1:7" ht="15">
      <c r="A19" s="39"/>
      <c r="B19" s="39">
        <f>G4</f>
        <v>1266</v>
      </c>
      <c r="C19" s="40"/>
      <c r="D19" s="40"/>
      <c r="E19" s="40"/>
      <c r="F19" s="40"/>
      <c r="G19" s="40"/>
    </row>
    <row r="20" spans="1:7" ht="15">
      <c r="A20" s="39"/>
      <c r="B20" s="39">
        <f>G4-B5</f>
        <v>1176</v>
      </c>
      <c r="C20" s="40"/>
      <c r="D20" s="40"/>
      <c r="E20" s="40"/>
      <c r="F20" s="40"/>
      <c r="G20" s="40"/>
    </row>
    <row r="21" spans="1:7" ht="15">
      <c r="A21" s="40"/>
      <c r="B21" s="40"/>
      <c r="C21" s="40"/>
      <c r="D21" s="40"/>
      <c r="E21" s="40"/>
      <c r="F21" s="40"/>
      <c r="G21" s="40"/>
    </row>
    <row r="22" spans="1:7" ht="15">
      <c r="A22" s="40"/>
      <c r="B22" s="40"/>
      <c r="C22" s="40"/>
      <c r="D22" s="40"/>
      <c r="E22" s="40"/>
      <c r="F22" s="40"/>
      <c r="G22" s="40"/>
    </row>
    <row r="23" spans="1:7" ht="15">
      <c r="A23" s="40"/>
      <c r="B23" s="40"/>
      <c r="C23" s="40"/>
      <c r="D23" s="40"/>
      <c r="E23" s="40"/>
      <c r="F23" s="40"/>
      <c r="G23" s="40"/>
    </row>
    <row r="24" spans="1:7" ht="15">
      <c r="A24" s="40"/>
      <c r="B24" s="40"/>
      <c r="C24" s="40"/>
      <c r="D24" s="40"/>
      <c r="E24" s="40"/>
      <c r="F24" s="40"/>
      <c r="G24" s="40"/>
    </row>
  </sheetData>
  <sheetProtection password="F3FF" sheet="1" objects="1" scenarios="1"/>
  <mergeCells count="27">
    <mergeCell ref="A12:B12"/>
    <mergeCell ref="C12:F12"/>
    <mergeCell ref="G12:J12"/>
    <mergeCell ref="A8:C8"/>
    <mergeCell ref="A9:C9"/>
    <mergeCell ref="F8:F9"/>
    <mergeCell ref="A10:J10"/>
    <mergeCell ref="D9:E9"/>
    <mergeCell ref="H9:I9"/>
    <mergeCell ref="D11:E11"/>
    <mergeCell ref="I11:J11"/>
    <mergeCell ref="L1:N2"/>
    <mergeCell ref="O1:O2"/>
    <mergeCell ref="A13:J13"/>
    <mergeCell ref="D6:E6"/>
    <mergeCell ref="D7:E7"/>
    <mergeCell ref="I6:J6"/>
    <mergeCell ref="I7:J7"/>
    <mergeCell ref="D8:E8"/>
    <mergeCell ref="H8:I8"/>
    <mergeCell ref="A1:J1"/>
    <mergeCell ref="A3:B3"/>
    <mergeCell ref="H3:J3"/>
    <mergeCell ref="C2:G2"/>
    <mergeCell ref="H2:J2"/>
    <mergeCell ref="C3:G3"/>
    <mergeCell ref="A2:B2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user38</dc:creator>
  <cp:keywords/>
  <dc:description/>
  <cp:lastModifiedBy>user40</cp:lastModifiedBy>
  <dcterms:created xsi:type="dcterms:W3CDTF">2008-10-30T21:00:33Z</dcterms:created>
  <dcterms:modified xsi:type="dcterms:W3CDTF">2009-01-07T15:43:36Z</dcterms:modified>
  <cp:category/>
  <cp:version/>
  <cp:contentType/>
  <cp:contentStatus/>
</cp:coreProperties>
</file>